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Sean\Loans Active\Consultancy\RCM\"/>
    </mc:Choice>
  </mc:AlternateContent>
  <xr:revisionPtr revIDLastSave="0" documentId="13_ncr:1_{8CEB7D06-C056-417F-B1C1-38794B1AE21A}" xr6:coauthVersionLast="45" xr6:coauthVersionMax="45" xr10:uidLastSave="{00000000-0000-0000-0000-000000000000}"/>
  <bookViews>
    <workbookView xWindow="-120" yWindow="-120" windowWidth="20730" windowHeight="11310" xr2:uid="{75C623C0-8643-447F-ADFA-ACAC8FF32BEE}"/>
  </bookViews>
  <sheets>
    <sheet name="Cost of Attendance" sheetId="1" r:id="rId1"/>
    <sheet name="Data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38" i="1" l="1"/>
  <c r="C46" i="1" s="1"/>
  <c r="C39" i="1"/>
  <c r="C47" i="1" s="1"/>
  <c r="C37" i="1"/>
  <c r="C45" i="1" s="1"/>
  <c r="C36" i="1"/>
  <c r="C24" i="2"/>
  <c r="C23" i="2"/>
  <c r="C22" i="2"/>
  <c r="G12" i="2"/>
  <c r="D23" i="1" s="1"/>
  <c r="G8" i="2"/>
  <c r="D19" i="1" s="1"/>
  <c r="G9" i="2"/>
  <c r="G10" i="2"/>
  <c r="G7" i="2"/>
  <c r="E19" i="2"/>
  <c r="C18" i="2"/>
  <c r="E18" i="2" s="1"/>
  <c r="D20" i="1"/>
  <c r="D21" i="1"/>
  <c r="D17" i="1"/>
  <c r="D5" i="1"/>
  <c r="C24" i="1" s="1"/>
  <c r="D6" i="1"/>
  <c r="E17" i="1" s="1"/>
  <c r="E8" i="2"/>
  <c r="E9" i="2"/>
  <c r="E10" i="2"/>
  <c r="E11" i="2"/>
  <c r="E7" i="2"/>
  <c r="D18" i="1" s="1"/>
  <c r="H7" i="2"/>
  <c r="F7" i="2"/>
  <c r="F8" i="2" s="1"/>
  <c r="F9" i="2" s="1"/>
  <c r="F10" i="2" s="1"/>
  <c r="F11" i="2" s="1"/>
  <c r="D7" i="2"/>
  <c r="D8" i="2" s="1"/>
  <c r="D9" i="2" s="1"/>
  <c r="D10" i="2" s="1"/>
  <c r="D11" i="2" s="1"/>
  <c r="C11" i="2"/>
  <c r="G11" i="2" s="1"/>
  <c r="G13" i="2" l="1"/>
  <c r="I7" i="2"/>
  <c r="F20" i="2"/>
  <c r="D36" i="1" s="1"/>
  <c r="E36" i="1" s="1"/>
  <c r="D44" i="1" s="1"/>
  <c r="I19" i="2"/>
  <c r="K21" i="2"/>
  <c r="J20" i="2"/>
  <c r="J18" i="2"/>
  <c r="J19" i="2"/>
  <c r="I20" i="2"/>
  <c r="K18" i="2"/>
  <c r="I21" i="2"/>
  <c r="I18" i="2"/>
  <c r="J21" i="2"/>
  <c r="K19" i="2"/>
  <c r="K20" i="2"/>
  <c r="D22" i="1"/>
  <c r="D24" i="1" s="1"/>
  <c r="J7" i="2"/>
  <c r="H8" i="2"/>
  <c r="E13" i="2"/>
  <c r="F44" i="1" l="1"/>
  <c r="E18" i="1"/>
  <c r="I22" i="2"/>
  <c r="K22" i="2"/>
  <c r="H9" i="2"/>
  <c r="I8" i="2"/>
  <c r="J8" i="2"/>
  <c r="E19" i="1" s="1"/>
  <c r="H10" i="2" l="1"/>
  <c r="I9" i="2"/>
  <c r="J9" i="2"/>
  <c r="E20" i="1" s="1"/>
  <c r="H11" i="2" l="1"/>
  <c r="I10" i="2"/>
  <c r="J10" i="2"/>
  <c r="E21" i="1" l="1"/>
  <c r="H12" i="2"/>
  <c r="J11" i="2"/>
  <c r="E22" i="1" s="1"/>
  <c r="I11" i="2"/>
  <c r="I12" i="2" l="1"/>
  <c r="I13" i="2" s="1"/>
  <c r="J12" i="2"/>
  <c r="E23" i="1" s="1"/>
  <c r="E24" i="1" s="1"/>
  <c r="F17" i="2" s="1"/>
  <c r="F21" i="2" s="1"/>
  <c r="F31" i="2" s="1"/>
  <c r="D26" i="2" l="1"/>
  <c r="J13" i="2"/>
  <c r="D45" i="1" l="1"/>
  <c r="B45" i="1"/>
  <c r="D27" i="2"/>
  <c r="F26" i="2"/>
  <c r="D37" i="1"/>
  <c r="F45" i="1" s="1"/>
  <c r="F27" i="2" l="1"/>
  <c r="E38" i="1" s="1"/>
  <c r="B46" i="1"/>
  <c r="D46" i="1"/>
  <c r="D38" i="1"/>
  <c r="E37" i="1"/>
  <c r="J25" i="2" l="1"/>
  <c r="F46" i="1"/>
  <c r="J26" i="2"/>
  <c r="D28" i="2" s="1"/>
  <c r="F28" i="2" l="1"/>
  <c r="B47" i="1"/>
  <c r="D47" i="1"/>
  <c r="D48" i="1" s="1"/>
  <c r="D39" i="1"/>
  <c r="E39" i="1"/>
  <c r="E40" i="1" s="1"/>
  <c r="F29" i="2"/>
  <c r="F47" i="1" l="1"/>
  <c r="F48" i="1" s="1"/>
  <c r="B51" i="1" s="1"/>
</calcChain>
</file>

<file path=xl/sharedStrings.xml><?xml version="1.0" encoding="utf-8"?>
<sst xmlns="http://schemas.openxmlformats.org/spreadsheetml/2006/main" count="132" uniqueCount="111">
  <si>
    <t>Cost of Attendance</t>
  </si>
  <si>
    <t>These are the costs for the year</t>
  </si>
  <si>
    <t>2020/21</t>
  </si>
  <si>
    <t xml:space="preserve">This has been calculated using an exchange rate of </t>
  </si>
  <si>
    <t>Please answer these questions</t>
  </si>
  <si>
    <t>Will you be studying for a Bachelor Course</t>
  </si>
  <si>
    <t>In which year of study will you be</t>
  </si>
  <si>
    <t>https://www.rcm.ac.uk/apply/feesandfunding/</t>
  </si>
  <si>
    <t>Books</t>
  </si>
  <si>
    <t>Travel</t>
  </si>
  <si>
    <t>Room</t>
  </si>
  <si>
    <t>Board</t>
  </si>
  <si>
    <t>General</t>
  </si>
  <si>
    <t>Return Flights</t>
  </si>
  <si>
    <t>Rate</t>
  </si>
  <si>
    <t>UG</t>
  </si>
  <si>
    <t>PG</t>
  </si>
  <si>
    <t>UG Pounds</t>
  </si>
  <si>
    <t>UG Dollars</t>
  </si>
  <si>
    <t>PG Pounds</t>
  </si>
  <si>
    <t>PG Dollars</t>
  </si>
  <si>
    <t>weeks</t>
  </si>
  <si>
    <t>FX Rate</t>
  </si>
  <si>
    <t>Annual Total</t>
  </si>
  <si>
    <t>Weekly</t>
  </si>
  <si>
    <t>No of Weeks</t>
  </si>
  <si>
    <t>Year</t>
  </si>
  <si>
    <t>Y</t>
  </si>
  <si>
    <t>Tuition</t>
  </si>
  <si>
    <t>$US Dollars</t>
  </si>
  <si>
    <t>£ Sterling</t>
  </si>
  <si>
    <t>Loan Eligibility</t>
  </si>
  <si>
    <t>Please Answer these Questions</t>
  </si>
  <si>
    <t>This is your Loan Eligibility</t>
  </si>
  <si>
    <t>Unsubsidised Loan</t>
  </si>
  <si>
    <t>PLUS Loan</t>
  </si>
  <si>
    <t>D</t>
  </si>
  <si>
    <t>Cash Value</t>
  </si>
  <si>
    <t>Cash Value after US Govt Fees</t>
  </si>
  <si>
    <t>Gross Loan Value</t>
  </si>
  <si>
    <t>What is the dependency status shown on your SAR</t>
  </si>
  <si>
    <t xml:space="preserve">If someone else is paying tuition fees only, then only then enter how much here. Only enter the pounds or the dollars </t>
  </si>
  <si>
    <t>From the top right front page of your SAR, what is your EFC</t>
  </si>
  <si>
    <t>This is the Cost of Attendance Spreadsheet</t>
  </si>
  <si>
    <t>It is the Consumer Disclosure net price calculator</t>
  </si>
  <si>
    <t>It is also the Consumer Disclosure of  your Loan Eligibility</t>
  </si>
  <si>
    <t>To ensure this information is accurate, please complete the yellow boxes</t>
  </si>
  <si>
    <t>If you will receive financial aid from another source, for living or for tuition plus living, then  write how much here. Only enter the or the dollars</t>
  </si>
  <si>
    <t>CoA</t>
  </si>
  <si>
    <t>Other sterling funding</t>
  </si>
  <si>
    <t>Other dollar Funding</t>
  </si>
  <si>
    <t>Loan Entitlement</t>
  </si>
  <si>
    <t>MAXIMUM LOAN LEVELS AVAILABLE</t>
  </si>
  <si>
    <t>Sub</t>
  </si>
  <si>
    <t>Unsub Depend</t>
  </si>
  <si>
    <t>Unsub Ind</t>
  </si>
  <si>
    <t>postgraduates</t>
  </si>
  <si>
    <t>Undergraduate1</t>
  </si>
  <si>
    <t>Undergraduate2</t>
  </si>
  <si>
    <t>Undergraduate&gt;2</t>
  </si>
  <si>
    <t>Max Loan Available</t>
  </si>
  <si>
    <t>There is no Subsidised Loan for postgraduates</t>
  </si>
  <si>
    <t>Status</t>
  </si>
  <si>
    <t>to dollars</t>
  </si>
  <si>
    <t>Loans for this student before EFC calculation</t>
  </si>
  <si>
    <t>Please enter your tuition fee in Pounds Sterling - check using link below</t>
  </si>
  <si>
    <t>Need for loans</t>
  </si>
  <si>
    <t>Orig Fee</t>
  </si>
  <si>
    <t>PLUS Calculation</t>
  </si>
  <si>
    <t>Need for PLUS</t>
  </si>
  <si>
    <t>PLUS needed</t>
  </si>
  <si>
    <t>Dollar funding from other sources</t>
  </si>
  <si>
    <t>Subsidised Loan adjusted by EFC</t>
  </si>
  <si>
    <t>Total Funding</t>
  </si>
  <si>
    <t>Tell us how much you wish to borrow</t>
  </si>
  <si>
    <t>Only adjust the yellow boxes</t>
  </si>
  <si>
    <t>US Govt Origination Fee %</t>
  </si>
  <si>
    <t>Max Allowed</t>
  </si>
  <si>
    <t>Sallie Mae Private Loan</t>
  </si>
  <si>
    <t>Max Sallie Mae Allowed</t>
  </si>
  <si>
    <t>Max Loans</t>
  </si>
  <si>
    <t>Borrowed</t>
  </si>
  <si>
    <t xml:space="preserve">You already have other funding of </t>
  </si>
  <si>
    <t>Total Fundung using Federal loans</t>
  </si>
  <si>
    <t>If you wish to borrow a Private (Sallie Mae Loan) add it here</t>
  </si>
  <si>
    <t>Tell us Who you are</t>
  </si>
  <si>
    <t>Family Name (Surname)</t>
  </si>
  <si>
    <t>surname - family name</t>
  </si>
  <si>
    <t>Given Name (Forename)</t>
  </si>
  <si>
    <t>forename - first name(s)</t>
  </si>
  <si>
    <t>Address Line 1</t>
  </si>
  <si>
    <t>line 1</t>
  </si>
  <si>
    <t>Address Line 2</t>
  </si>
  <si>
    <t>line 2</t>
  </si>
  <si>
    <t>Address Line 3</t>
  </si>
  <si>
    <t>line 3</t>
  </si>
  <si>
    <t>Address Line 4</t>
  </si>
  <si>
    <t>line 4</t>
  </si>
  <si>
    <t>Zipcode / Postcode</t>
  </si>
  <si>
    <t>postcode/zipcode</t>
  </si>
  <si>
    <t>Email</t>
  </si>
  <si>
    <t>email address</t>
  </si>
  <si>
    <t>Date of Birth dd/mm/yyyy</t>
  </si>
  <si>
    <t>Full Social Security Number</t>
  </si>
  <si>
    <t>123 45 6789</t>
  </si>
  <si>
    <t>Application/Student Number</t>
  </si>
  <si>
    <t>201700000</t>
  </si>
  <si>
    <t>Full name of your course</t>
  </si>
  <si>
    <t>MSc Gastronomy and Taxidermy</t>
  </si>
  <si>
    <t>lock clue</t>
  </si>
  <si>
    <t>the hall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</si>
</sst>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&quot;£&quot;#,##0.00"/>
    <numFmt numFmtId="165" formatCode="[$$-409]#,##0"/>
    <numFmt numFmtId="166" formatCode="&quot;£&quot;#,##0"/>
    <numFmt numFmtId="167" formatCode="[$-F800]dddd\,\ mmmm\ dd\,\ yyyy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8"/>
      <color rgb="FFFF0000"/>
      <name val="Arial"/>
      <family val="2"/>
    </font>
    <font>
      <u/>
      <sz val="11"/>
      <color theme="10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b/>
      <sz val="14"/>
      <color rgb="FFFF0000"/>
      <name val="Calibri"/>
      <family val="2"/>
      <scheme val="minor"/>
    </font>
    <font>
      <b/>
      <sz val="10"/>
      <color rgb="FFFF0000"/>
      <name val="Arial"/>
      <family val="2"/>
    </font>
    <font>
      <b/>
      <sz val="10"/>
      <color theme="4"/>
      <name val="Arial"/>
      <family val="2"/>
    </font>
    <font>
      <b/>
      <sz val="14"/>
      <color theme="4" tint="-0.499984740745262"/>
      <name val="Calibri"/>
      <family val="2"/>
      <scheme val="minor"/>
    </font>
    <font>
      <sz val="11"/>
      <color theme="4" tint="-0.499984740745262"/>
      <name val="Calibri"/>
      <family val="2"/>
      <scheme val="minor"/>
    </font>
    <font>
      <b/>
      <sz val="9"/>
      <color theme="4" tint="-0.499984740745262"/>
      <name val="Arial"/>
      <family val="2"/>
    </font>
    <font>
      <sz val="9"/>
      <color theme="4" tint="-0.499984740745262"/>
      <name val="Arial"/>
      <family val="2"/>
    </font>
    <font>
      <sz val="9"/>
      <color theme="4" tint="-0.499984740745262"/>
      <name val="Calibri"/>
      <family val="2"/>
      <scheme val="minor"/>
    </font>
    <font>
      <b/>
      <u/>
      <sz val="9"/>
      <color theme="4" tint="-0.499984740745262"/>
      <name val="Arial"/>
      <family val="2"/>
    </font>
    <font>
      <sz val="10"/>
      <color theme="4" tint="-0.499984740745262"/>
      <name val="Arial"/>
      <family val="2"/>
    </font>
    <font>
      <b/>
      <sz val="10"/>
      <color theme="4" tint="-0.499984740745262"/>
      <name val="Arial"/>
      <family val="2"/>
    </font>
    <font>
      <sz val="10"/>
      <color indexed="12"/>
      <name val="Times New Roman"/>
      <family val="1"/>
    </font>
    <font>
      <b/>
      <sz val="11"/>
      <color rgb="FF0070C0"/>
      <name val="Arial"/>
      <family val="2"/>
    </font>
    <font>
      <sz val="10"/>
      <color indexed="12"/>
      <name val="Arial"/>
      <family val="2"/>
    </font>
    <font>
      <b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70C0"/>
      <name val="Arial"/>
      <family val="2"/>
    </font>
    <font>
      <b/>
      <u/>
      <sz val="10"/>
      <color theme="4"/>
      <name val="Arial"/>
      <family val="2"/>
    </font>
    <font>
      <b/>
      <sz val="16"/>
      <color rgb="FFFF0000"/>
      <name val="Arial"/>
      <family val="2"/>
    </font>
    <font>
      <sz val="11"/>
      <color theme="0" tint="-0.49998474074526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43"/>
        <bgColor indexed="64"/>
      </patternFill>
    </fill>
  </fills>
  <borders count="3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indexed="64"/>
      </left>
      <right/>
      <top/>
      <bottom/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/>
    <xf numFmtId="0" fontId="7" fillId="0" borderId="0" applyNumberFormat="0" applyFill="0" applyBorder="0" applyAlignment="0" applyProtection="0"/>
    <xf numFmtId="0" fontId="6" fillId="0" borderId="0"/>
  </cellStyleXfs>
  <cellXfs count="70">
    <xf numFmtId="0" fontId="0" fillId="0" borderId="0" xfId="0"/>
    <xf numFmtId="0" fontId="2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166" fontId="0" fillId="0" borderId="0" xfId="0" applyNumberFormat="1"/>
    <xf numFmtId="165" fontId="0" fillId="0" borderId="0" xfId="0" applyNumberFormat="1"/>
    <xf numFmtId="0" fontId="0" fillId="3" borderId="0" xfId="0" applyFill="1"/>
    <xf numFmtId="0" fontId="8" fillId="0" borderId="0" xfId="0" applyFont="1"/>
    <xf numFmtId="0" fontId="6" fillId="0" borderId="0" xfId="0" applyFont="1" applyAlignment="1">
      <alignment horizontal="left" vertical="center"/>
    </xf>
    <xf numFmtId="0" fontId="0" fillId="0" borderId="0" xfId="0" applyAlignment="1">
      <alignment horizontal="right"/>
    </xf>
    <xf numFmtId="0" fontId="11" fillId="0" borderId="0" xfId="0" applyFont="1"/>
    <xf numFmtId="0" fontId="12" fillId="0" borderId="0" xfId="0" applyFont="1"/>
    <xf numFmtId="0" fontId="13" fillId="0" borderId="0" xfId="0" applyFont="1"/>
    <xf numFmtId="0" fontId="14" fillId="0" borderId="0" xfId="0" applyFont="1"/>
    <xf numFmtId="0" fontId="15" fillId="0" borderId="0" xfId="0" applyFont="1"/>
    <xf numFmtId="0" fontId="16" fillId="0" borderId="0" xfId="0" applyFont="1" applyAlignment="1">
      <alignment horizontal="right"/>
    </xf>
    <xf numFmtId="0" fontId="16" fillId="0" borderId="0" xfId="0" applyFont="1" applyAlignment="1">
      <alignment horizontal="center"/>
    </xf>
    <xf numFmtId="165" fontId="17" fillId="0" borderId="0" xfId="0" applyNumberFormat="1" applyFont="1" applyAlignment="1">
      <alignment horizontal="right"/>
    </xf>
    <xf numFmtId="165" fontId="17" fillId="0" borderId="0" xfId="0" applyNumberFormat="1" applyFont="1"/>
    <xf numFmtId="0" fontId="17" fillId="0" borderId="0" xfId="0" applyFont="1"/>
    <xf numFmtId="0" fontId="17" fillId="3" borderId="0" xfId="0" applyFont="1" applyFill="1"/>
    <xf numFmtId="0" fontId="18" fillId="0" borderId="0" xfId="0" applyFont="1"/>
    <xf numFmtId="164" fontId="0" fillId="3" borderId="0" xfId="0" applyNumberFormat="1" applyFill="1" applyAlignment="1">
      <alignment horizontal="center"/>
    </xf>
    <xf numFmtId="166" fontId="0" fillId="0" borderId="0" xfId="0" applyNumberFormat="1" applyAlignment="1">
      <alignment horizontal="right"/>
    </xf>
    <xf numFmtId="166" fontId="0" fillId="3" borderId="0" xfId="0" applyNumberFormat="1" applyFill="1" applyAlignment="1">
      <alignment horizontal="right"/>
    </xf>
    <xf numFmtId="165" fontId="0" fillId="0" borderId="0" xfId="0" applyNumberFormat="1" applyAlignment="1">
      <alignment horizontal="right"/>
    </xf>
    <xf numFmtId="0" fontId="19" fillId="4" borderId="0" xfId="0" applyFont="1" applyFill="1" applyAlignment="1">
      <alignment horizontal="center"/>
    </xf>
    <xf numFmtId="165" fontId="6" fillId="0" borderId="0" xfId="0" applyNumberFormat="1" applyFont="1" applyAlignment="1">
      <alignment horizontal="right" vertical="center"/>
    </xf>
    <xf numFmtId="165" fontId="6" fillId="0" borderId="0" xfId="0" applyNumberFormat="1" applyFont="1" applyAlignment="1">
      <alignment horizontal="right" vertical="center" wrapText="1"/>
    </xf>
    <xf numFmtId="165" fontId="5" fillId="0" borderId="0" xfId="0" applyNumberFormat="1" applyFont="1" applyAlignment="1">
      <alignment horizontal="right"/>
    </xf>
    <xf numFmtId="0" fontId="2" fillId="0" borderId="0" xfId="0" applyFont="1" applyAlignment="1">
      <alignment horizontal="center"/>
    </xf>
    <xf numFmtId="0" fontId="20" fillId="0" borderId="0" xfId="0" applyFont="1"/>
    <xf numFmtId="0" fontId="6" fillId="0" borderId="0" xfId="0" applyFont="1"/>
    <xf numFmtId="0" fontId="21" fillId="2" borderId="0" xfId="0" applyFont="1" applyFill="1" applyAlignment="1">
      <alignment horizontal="center"/>
    </xf>
    <xf numFmtId="1" fontId="6" fillId="0" borderId="2" xfId="1" applyNumberFormat="1" applyFont="1" applyBorder="1" applyAlignment="1" applyProtection="1">
      <alignment horizontal="left"/>
    </xf>
    <xf numFmtId="1" fontId="6" fillId="0" borderId="0" xfId="1" applyNumberFormat="1" applyFont="1" applyBorder="1" applyAlignment="1" applyProtection="1">
      <alignment horizontal="center"/>
    </xf>
    <xf numFmtId="1" fontId="6" fillId="0" borderId="2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center"/>
    </xf>
    <xf numFmtId="1" fontId="6" fillId="0" borderId="2" xfId="1" applyNumberFormat="1" applyFont="1" applyFill="1" applyBorder="1" applyAlignment="1" applyProtection="1">
      <alignment horizontal="left"/>
    </xf>
    <xf numFmtId="1" fontId="6" fillId="0" borderId="0" xfId="1" applyNumberFormat="1" applyFont="1" applyFill="1" applyBorder="1" applyAlignment="1" applyProtection="1">
      <alignment horizontal="center"/>
    </xf>
    <xf numFmtId="1" fontId="6" fillId="0" borderId="0" xfId="1" applyNumberFormat="1" applyFont="1" applyAlignment="1" applyProtection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0" fontId="24" fillId="3" borderId="0" xfId="0" applyFont="1" applyFill="1"/>
    <xf numFmtId="0" fontId="25" fillId="0" borderId="0" xfId="2" applyFont="1"/>
    <xf numFmtId="0" fontId="9" fillId="0" borderId="0" xfId="0" applyFont="1"/>
    <xf numFmtId="0" fontId="9" fillId="0" borderId="0" xfId="0" applyFont="1" applyAlignment="1">
      <alignment horizontal="center"/>
    </xf>
    <xf numFmtId="0" fontId="5" fillId="0" borderId="0" xfId="0" applyFont="1" applyAlignment="1">
      <alignment horizontal="left" indent="24"/>
    </xf>
    <xf numFmtId="166" fontId="5" fillId="0" borderId="0" xfId="0" applyNumberFormat="1" applyFont="1" applyAlignment="1">
      <alignment horizontal="center"/>
    </xf>
    <xf numFmtId="165" fontId="5" fillId="0" borderId="0" xfId="0" applyNumberFormat="1" applyFont="1"/>
    <xf numFmtId="166" fontId="5" fillId="0" borderId="1" xfId="0" applyNumberFormat="1" applyFont="1" applyBorder="1" applyAlignment="1">
      <alignment horizontal="center"/>
    </xf>
    <xf numFmtId="165" fontId="5" fillId="0" borderId="1" xfId="0" applyNumberFormat="1" applyFont="1" applyBorder="1"/>
    <xf numFmtId="0" fontId="5" fillId="0" borderId="0" xfId="0" applyFont="1" applyAlignment="1">
      <alignment wrapText="1"/>
    </xf>
    <xf numFmtId="0" fontId="5" fillId="0" borderId="0" xfId="0" applyFont="1" applyAlignment="1">
      <alignment horizontal="center" vertical="center" wrapText="1"/>
    </xf>
    <xf numFmtId="0" fontId="24" fillId="2" borderId="0" xfId="0" applyFont="1" applyFill="1"/>
    <xf numFmtId="165" fontId="10" fillId="0" borderId="0" xfId="0" applyNumberFormat="1" applyFont="1" applyAlignment="1">
      <alignment horizontal="center"/>
    </xf>
    <xf numFmtId="165" fontId="5" fillId="0" borderId="0" xfId="0" applyNumberFormat="1" applyFont="1" applyAlignment="1">
      <alignment horizontal="center"/>
    </xf>
    <xf numFmtId="0" fontId="26" fillId="0" borderId="0" xfId="0" applyFont="1" applyAlignment="1">
      <alignment horizontal="left" vertical="center"/>
    </xf>
    <xf numFmtId="0" fontId="26" fillId="0" borderId="0" xfId="0" applyFont="1"/>
    <xf numFmtId="0" fontId="27" fillId="0" borderId="0" xfId="0" applyFont="1"/>
    <xf numFmtId="0" fontId="5" fillId="3" borderId="0" xfId="0" applyFont="1" applyFill="1" applyAlignment="1" applyProtection="1">
      <alignment horizontal="center"/>
      <protection locked="0"/>
    </xf>
    <xf numFmtId="166" fontId="5" fillId="3" borderId="0" xfId="0" applyNumberFormat="1" applyFont="1" applyFill="1" applyAlignment="1" applyProtection="1">
      <alignment horizontal="center"/>
      <protection locked="0"/>
    </xf>
    <xf numFmtId="165" fontId="5" fillId="3" borderId="0" xfId="0" applyNumberFormat="1" applyFont="1" applyFill="1" applyProtection="1">
      <protection locked="0"/>
    </xf>
    <xf numFmtId="165" fontId="5" fillId="3" borderId="0" xfId="0" applyNumberFormat="1" applyFont="1" applyFill="1" applyAlignment="1" applyProtection="1">
      <alignment horizontal="center"/>
      <protection locked="0"/>
    </xf>
    <xf numFmtId="43" fontId="22" fillId="3" borderId="0" xfId="1" applyFont="1" applyFill="1" applyBorder="1" applyAlignment="1" applyProtection="1">
      <alignment horizontal="center"/>
      <protection locked="0"/>
    </xf>
    <xf numFmtId="49" fontId="21" fillId="3" borderId="0" xfId="1" applyNumberFormat="1" applyFont="1" applyFill="1" applyBorder="1" applyAlignment="1" applyProtection="1">
      <alignment horizontal="center"/>
      <protection locked="0"/>
    </xf>
    <xf numFmtId="49" fontId="23" fillId="3" borderId="0" xfId="2" applyNumberFormat="1" applyFont="1" applyFill="1" applyBorder="1" applyAlignment="1" applyProtection="1">
      <alignment horizontal="center"/>
      <protection locked="0"/>
    </xf>
    <xf numFmtId="167" fontId="21" fillId="3" borderId="0" xfId="0" applyNumberFormat="1" applyFont="1" applyFill="1" applyAlignment="1" applyProtection="1">
      <alignment horizontal="center"/>
      <protection locked="0"/>
    </xf>
    <xf numFmtId="49" fontId="22" fillId="3" borderId="0" xfId="1" applyNumberFormat="1" applyFont="1" applyFill="1" applyBorder="1" applyAlignment="1" applyProtection="1">
      <alignment horizontal="center"/>
      <protection locked="0"/>
    </xf>
    <xf numFmtId="49" fontId="21" fillId="3" borderId="0" xfId="0" applyNumberFormat="1" applyFont="1" applyFill="1" applyAlignment="1" applyProtection="1">
      <alignment horizontal="center"/>
      <protection locked="0"/>
    </xf>
  </cellXfs>
  <cellStyles count="6">
    <cellStyle name="Comma" xfId="1" builtinId="3"/>
    <cellStyle name="Hyperlink" xfId="2" builtinId="8"/>
    <cellStyle name="Hyperlink 2" xfId="4" xr:uid="{02CFA4FA-EC07-411B-A746-F3453852E02B}"/>
    <cellStyle name="Normal" xfId="0" builtinId="0"/>
    <cellStyle name="Normal 2" xfId="5" xr:uid="{5C561302-8E2C-4138-8051-5D28EF232D54}"/>
    <cellStyle name="Normal 3" xfId="3" xr:uid="{675C8063-4E9A-43EF-A4D2-1E7F47A7C19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11</xdr:row>
      <xdr:rowOff>0</xdr:rowOff>
    </xdr:from>
    <xdr:to>
      <xdr:col>3</xdr:col>
      <xdr:colOff>304800</xdr:colOff>
      <xdr:row>12</xdr:row>
      <xdr:rowOff>139148</xdr:rowOff>
    </xdr:to>
    <xdr:sp macro="" textlink="">
      <xdr:nvSpPr>
        <xdr:cNvPr id="1026" name="AutoShape 2">
          <a:extLst>
            <a:ext uri="{FF2B5EF4-FFF2-40B4-BE49-F238E27FC236}">
              <a16:creationId xmlns:a16="http://schemas.microsoft.com/office/drawing/2014/main" id="{8421D576-0B35-4A77-AADA-F0C875FDB17E}"/>
            </a:ext>
          </a:extLst>
        </xdr:cNvPr>
        <xdr:cNvSpPr>
          <a:spLocks noChangeAspect="1" noChangeArrowheads="1"/>
        </xdr:cNvSpPr>
      </xdr:nvSpPr>
      <xdr:spPr bwMode="auto">
        <a:xfrm>
          <a:off x="4876800" y="19050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3</xdr:col>
      <xdr:colOff>0</xdr:colOff>
      <xdr:row>28</xdr:row>
      <xdr:rowOff>0</xdr:rowOff>
    </xdr:from>
    <xdr:to>
      <xdr:col>3</xdr:col>
      <xdr:colOff>304800</xdr:colOff>
      <xdr:row>29</xdr:row>
      <xdr:rowOff>139148</xdr:rowOff>
    </xdr:to>
    <xdr:sp macro="" textlink="">
      <xdr:nvSpPr>
        <xdr:cNvPr id="1027" name="AutoShape 3">
          <a:extLst>
            <a:ext uri="{FF2B5EF4-FFF2-40B4-BE49-F238E27FC236}">
              <a16:creationId xmlns:a16="http://schemas.microsoft.com/office/drawing/2014/main" id="{B41E4512-DDBC-4C2E-AE48-56DDB0E79ED4}"/>
            </a:ext>
          </a:extLst>
        </xdr:cNvPr>
        <xdr:cNvSpPr>
          <a:spLocks noChangeAspect="1" noChangeArrowheads="1"/>
        </xdr:cNvSpPr>
      </xdr:nvSpPr>
      <xdr:spPr bwMode="auto">
        <a:xfrm>
          <a:off x="4876800" y="1333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0</xdr:col>
      <xdr:colOff>9525</xdr:colOff>
      <xdr:row>0</xdr:row>
      <xdr:rowOff>76200</xdr:rowOff>
    </xdr:from>
    <xdr:to>
      <xdr:col>1</xdr:col>
      <xdr:colOff>624095</xdr:colOff>
      <xdr:row>17</xdr:row>
      <xdr:rowOff>60463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718F558D-337A-4FA7-8F4C-EF29B51333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76200"/>
          <a:ext cx="1447800" cy="3095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rcm.ac.uk/apply/feesandfundin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FDB8EC-43A4-4F78-8450-30CE6FA9FBD1}">
  <dimension ref="A1:J77"/>
  <sheetViews>
    <sheetView tabSelected="1" zoomScale="115" zoomScaleNormal="115" workbookViewId="0">
      <selection activeCell="D51" sqref="D51"/>
    </sheetView>
  </sheetViews>
  <sheetFormatPr defaultRowHeight="15" x14ac:dyDescent="0.25"/>
  <cols>
    <col min="1" max="1" width="12.5703125" bestFit="1" customWidth="1"/>
    <col min="2" max="2" width="12.85546875" customWidth="1"/>
    <col min="3" max="3" width="68" bestFit="1" customWidth="1"/>
    <col min="4" max="4" width="9.28515625" style="3" bestFit="1" customWidth="1"/>
    <col min="5" max="5" width="10.85546875" bestFit="1" customWidth="1"/>
  </cols>
  <sheetData>
    <row r="1" spans="1:8" ht="23.25" x14ac:dyDescent="0.35">
      <c r="A1" s="1"/>
      <c r="B1" s="1"/>
      <c r="C1" s="2" t="s">
        <v>43</v>
      </c>
      <c r="D1" s="30"/>
      <c r="E1" s="1"/>
      <c r="F1" s="1"/>
      <c r="G1" s="1"/>
      <c r="H1" s="1"/>
    </row>
    <row r="2" spans="1:8" x14ac:dyDescent="0.25">
      <c r="A2" s="1"/>
      <c r="B2" s="1"/>
      <c r="C2" s="31" t="s">
        <v>44</v>
      </c>
      <c r="D2" s="30"/>
      <c r="E2" s="1"/>
      <c r="F2" s="1"/>
      <c r="G2" s="1"/>
      <c r="H2" s="1"/>
    </row>
    <row r="3" spans="1:8" x14ac:dyDescent="0.25">
      <c r="A3" s="1"/>
      <c r="B3" s="1"/>
      <c r="C3" s="31" t="s">
        <v>45</v>
      </c>
      <c r="D3" s="30"/>
      <c r="F3" s="1"/>
      <c r="G3" s="1"/>
      <c r="H3" s="1"/>
    </row>
    <row r="4" spans="1:8" x14ac:dyDescent="0.25">
      <c r="A4" s="1"/>
      <c r="B4" s="1"/>
      <c r="C4" s="31"/>
      <c r="D4" s="59" t="s">
        <v>109</v>
      </c>
      <c r="E4" s="59" t="s">
        <v>110</v>
      </c>
      <c r="F4" s="1"/>
      <c r="G4" s="1"/>
      <c r="H4" s="1"/>
    </row>
    <row r="5" spans="1:8" s="41" customFormat="1" ht="12.75" x14ac:dyDescent="0.2">
      <c r="C5" s="41" t="s">
        <v>1</v>
      </c>
      <c r="D5" s="42" t="str">
        <f>Data!C2</f>
        <v>2020/21</v>
      </c>
    </row>
    <row r="6" spans="1:8" s="41" customFormat="1" ht="12.75" x14ac:dyDescent="0.2">
      <c r="C6" s="41" t="s">
        <v>3</v>
      </c>
      <c r="D6" s="42">
        <f>Data!D5</f>
        <v>1.35</v>
      </c>
    </row>
    <row r="7" spans="1:8" s="41" customFormat="1" ht="12.75" x14ac:dyDescent="0.2">
      <c r="D7" s="42"/>
    </row>
    <row r="8" spans="1:8" s="41" customFormat="1" ht="12.75" x14ac:dyDescent="0.2">
      <c r="D8" s="42"/>
    </row>
    <row r="9" spans="1:8" s="41" customFormat="1" ht="12.75" x14ac:dyDescent="0.2">
      <c r="C9" s="43" t="s">
        <v>46</v>
      </c>
      <c r="D9" s="42"/>
    </row>
    <row r="10" spans="1:8" s="41" customFormat="1" ht="12.75" x14ac:dyDescent="0.2">
      <c r="C10" s="41" t="s">
        <v>4</v>
      </c>
      <c r="D10" s="42"/>
    </row>
    <row r="11" spans="1:8" s="41" customFormat="1" ht="12.75" x14ac:dyDescent="0.2">
      <c r="C11" s="41" t="s">
        <v>5</v>
      </c>
      <c r="D11" s="60" t="s">
        <v>27</v>
      </c>
    </row>
    <row r="12" spans="1:8" s="41" customFormat="1" ht="12.75" x14ac:dyDescent="0.2">
      <c r="C12" s="41" t="s">
        <v>65</v>
      </c>
      <c r="D12" s="61">
        <v>15000</v>
      </c>
    </row>
    <row r="13" spans="1:8" s="41" customFormat="1" ht="12.75" x14ac:dyDescent="0.2">
      <c r="C13" s="44" t="s">
        <v>7</v>
      </c>
      <c r="D13" s="42"/>
    </row>
    <row r="14" spans="1:8" s="41" customFormat="1" ht="12.75" x14ac:dyDescent="0.2">
      <c r="D14" s="42"/>
    </row>
    <row r="15" spans="1:8" s="41" customFormat="1" ht="12.75" x14ac:dyDescent="0.2">
      <c r="D15" s="42"/>
    </row>
    <row r="16" spans="1:8" s="41" customFormat="1" ht="20.25" x14ac:dyDescent="0.3">
      <c r="C16" s="58" t="s">
        <v>0</v>
      </c>
      <c r="D16" s="46" t="s">
        <v>30</v>
      </c>
      <c r="E16" s="45" t="s">
        <v>29</v>
      </c>
    </row>
    <row r="17" spans="3:5" s="41" customFormat="1" ht="12.75" x14ac:dyDescent="0.2">
      <c r="C17" s="47" t="s">
        <v>28</v>
      </c>
      <c r="D17" s="48">
        <f>D12</f>
        <v>15000</v>
      </c>
      <c r="E17" s="49">
        <f>D12*D6</f>
        <v>20250</v>
      </c>
    </row>
    <row r="18" spans="3:5" s="41" customFormat="1" ht="12.75" x14ac:dyDescent="0.2">
      <c r="C18" s="47" t="s">
        <v>10</v>
      </c>
      <c r="D18" s="48">
        <f>IF((D11="Y"),Data!E7,Data!G7)</f>
        <v>13287</v>
      </c>
      <c r="E18" s="49">
        <f>IF((D11="Y"),Data!I7,Data!J7)</f>
        <v>17937</v>
      </c>
    </row>
    <row r="19" spans="3:5" s="41" customFormat="1" ht="12.75" x14ac:dyDescent="0.2">
      <c r="C19" s="47" t="s">
        <v>11</v>
      </c>
      <c r="D19" s="48">
        <f>IF((D30="Y"),Data!E8,Data!G8)</f>
        <v>5475</v>
      </c>
      <c r="E19" s="49">
        <f>IF((D30="Y"),Data!I8,Data!J8)</f>
        <v>7391</v>
      </c>
    </row>
    <row r="20" spans="3:5" s="41" customFormat="1" ht="12.75" x14ac:dyDescent="0.2">
      <c r="C20" s="47" t="s">
        <v>8</v>
      </c>
      <c r="D20" s="48">
        <f>IF((D12="Y"),Data!E9,Data!G9)</f>
        <v>1217</v>
      </c>
      <c r="E20" s="49">
        <f>IF((D12="Y"),Data!I9,Data!J9)</f>
        <v>1643</v>
      </c>
    </row>
    <row r="21" spans="3:5" s="41" customFormat="1" ht="12.75" x14ac:dyDescent="0.2">
      <c r="C21" s="47" t="s">
        <v>9</v>
      </c>
      <c r="D21" s="48">
        <f>IF((D13="Y"),Data!E10,Data!G10)</f>
        <v>2000</v>
      </c>
      <c r="E21" s="49">
        <f>IF((D13="Y"),Data!I10,Data!J10)</f>
        <v>2700</v>
      </c>
    </row>
    <row r="22" spans="3:5" s="41" customFormat="1" ht="12.75" x14ac:dyDescent="0.2">
      <c r="C22" s="47" t="s">
        <v>12</v>
      </c>
      <c r="D22" s="48">
        <f>IF((D14="Y"),Data!E11,Data!G11)</f>
        <v>5532</v>
      </c>
      <c r="E22" s="49">
        <f>IF((D14="Y"),Data!I11,Data!J11)</f>
        <v>7468</v>
      </c>
    </row>
    <row r="23" spans="3:5" s="41" customFormat="1" ht="13.5" thickBot="1" x14ac:dyDescent="0.25">
      <c r="C23" s="47" t="s">
        <v>13</v>
      </c>
      <c r="D23" s="48">
        <f>IF((D16="Y"),Data!E12,Data!G12)</f>
        <v>4077</v>
      </c>
      <c r="E23" s="49">
        <f>IF((D16="Y"),Data!I12,Data!J12)</f>
        <v>5504</v>
      </c>
    </row>
    <row r="24" spans="3:5" s="41" customFormat="1" ht="13.5" thickBot="1" x14ac:dyDescent="0.25">
      <c r="C24" s="47" t="str">
        <f>"Cost of Attendance for the year  "&amp;D5</f>
        <v>Cost of Attendance for the year  2020/21</v>
      </c>
      <c r="D24" s="50">
        <f>SUM(D17:D23)</f>
        <v>46588</v>
      </c>
      <c r="E24" s="51">
        <f>SUM(E17:E23)</f>
        <v>62893</v>
      </c>
    </row>
    <row r="25" spans="3:5" s="41" customFormat="1" ht="12.75" x14ac:dyDescent="0.2">
      <c r="D25" s="42"/>
    </row>
    <row r="26" spans="3:5" s="41" customFormat="1" ht="20.25" x14ac:dyDescent="0.3">
      <c r="C26" s="58" t="s">
        <v>31</v>
      </c>
      <c r="D26" s="42"/>
    </row>
    <row r="27" spans="3:5" s="41" customFormat="1" ht="12.75" x14ac:dyDescent="0.2">
      <c r="C27" s="41" t="s">
        <v>32</v>
      </c>
      <c r="D27" s="42"/>
    </row>
    <row r="28" spans="3:5" s="41" customFormat="1" ht="12.75" x14ac:dyDescent="0.2">
      <c r="C28" s="41" t="s">
        <v>42</v>
      </c>
      <c r="D28" s="60">
        <v>0</v>
      </c>
    </row>
    <row r="29" spans="3:5" s="41" customFormat="1" ht="12.75" x14ac:dyDescent="0.2">
      <c r="C29" s="41" t="s">
        <v>40</v>
      </c>
      <c r="D29" s="60" t="s">
        <v>36</v>
      </c>
    </row>
    <row r="30" spans="3:5" s="41" customFormat="1" ht="12.75" x14ac:dyDescent="0.2">
      <c r="C30" s="41" t="s">
        <v>6</v>
      </c>
      <c r="D30" s="60">
        <v>1</v>
      </c>
    </row>
    <row r="31" spans="3:5" s="41" customFormat="1" ht="12.75" x14ac:dyDescent="0.2">
      <c r="D31" s="46" t="s">
        <v>30</v>
      </c>
      <c r="E31" s="45" t="s">
        <v>29</v>
      </c>
    </row>
    <row r="32" spans="3:5" s="41" customFormat="1" ht="25.5" x14ac:dyDescent="0.2">
      <c r="C32" s="52" t="s">
        <v>41</v>
      </c>
      <c r="D32" s="61">
        <v>1500</v>
      </c>
      <c r="E32" s="62">
        <v>0</v>
      </c>
    </row>
    <row r="33" spans="1:10" s="41" customFormat="1" ht="28.5" customHeight="1" x14ac:dyDescent="0.2">
      <c r="C33" s="52" t="s">
        <v>47</v>
      </c>
      <c r="D33" s="61">
        <v>0</v>
      </c>
      <c r="E33" s="62">
        <v>2000</v>
      </c>
    </row>
    <row r="34" spans="1:10" s="41" customFormat="1" ht="12.75" x14ac:dyDescent="0.2">
      <c r="D34" s="42"/>
    </row>
    <row r="35" spans="1:10" s="41" customFormat="1" ht="54" customHeight="1" x14ac:dyDescent="0.2">
      <c r="C35" s="57" t="s">
        <v>33</v>
      </c>
      <c r="D35" s="53" t="s">
        <v>39</v>
      </c>
      <c r="E35" s="53" t="s">
        <v>38</v>
      </c>
    </row>
    <row r="36" spans="1:10" s="32" customFormat="1" ht="13.5" customHeight="1" x14ac:dyDescent="0.2">
      <c r="C36" s="8" t="str">
        <f>Data!B20</f>
        <v>Dollar funding from other sources</v>
      </c>
      <c r="D36" s="28">
        <f>-Data!F20</f>
        <v>4025</v>
      </c>
      <c r="E36" s="28">
        <f>D36</f>
        <v>4025</v>
      </c>
    </row>
    <row r="37" spans="1:10" s="41" customFormat="1" ht="12.75" x14ac:dyDescent="0.2">
      <c r="C37" s="8" t="str">
        <f>Data!B26</f>
        <v>Subsidised Loan adjusted by EFC</v>
      </c>
      <c r="D37" s="27">
        <f>Data!D26</f>
        <v>3500</v>
      </c>
      <c r="E37" s="27">
        <f>Data!F26</f>
        <v>3463</v>
      </c>
      <c r="F37" s="8"/>
      <c r="G37" s="8"/>
      <c r="I37" s="8"/>
      <c r="J37" s="8"/>
    </row>
    <row r="38" spans="1:10" s="41" customFormat="1" ht="12.75" x14ac:dyDescent="0.2">
      <c r="C38" s="8" t="str">
        <f>Data!B27</f>
        <v>Unsubsidised Loan</v>
      </c>
      <c r="D38" s="27">
        <f>Data!D27</f>
        <v>2000</v>
      </c>
      <c r="E38" s="27">
        <f>Data!F27</f>
        <v>1979</v>
      </c>
      <c r="F38" s="8"/>
      <c r="G38" s="8"/>
      <c r="I38" s="8"/>
      <c r="J38" s="8"/>
    </row>
    <row r="39" spans="1:10" s="41" customFormat="1" ht="12.75" x14ac:dyDescent="0.2">
      <c r="C39" s="8" t="str">
        <f>Data!B28</f>
        <v>PLUS Loan</v>
      </c>
      <c r="D39" s="27">
        <f>ROUND((Data!D28),0)</f>
        <v>55789</v>
      </c>
      <c r="E39" s="27">
        <f>ROUND((Data!F28),0)</f>
        <v>53426</v>
      </c>
      <c r="F39" s="8"/>
      <c r="G39" s="8"/>
      <c r="I39" s="8"/>
      <c r="J39" s="8"/>
    </row>
    <row r="40" spans="1:10" s="41" customFormat="1" ht="12.75" x14ac:dyDescent="0.2">
      <c r="C40" s="41" t="s">
        <v>73</v>
      </c>
      <c r="D40" s="29"/>
      <c r="E40" s="29">
        <f>SUM(E36:E39)</f>
        <v>62893</v>
      </c>
    </row>
    <row r="41" spans="1:10" s="41" customFormat="1" ht="12.75" x14ac:dyDescent="0.2">
      <c r="D41" s="42"/>
    </row>
    <row r="42" spans="1:10" s="41" customFormat="1" ht="38.25" x14ac:dyDescent="0.2">
      <c r="C42" s="57" t="s">
        <v>74</v>
      </c>
      <c r="D42" s="53" t="s">
        <v>39</v>
      </c>
      <c r="E42" s="53" t="s">
        <v>76</v>
      </c>
      <c r="F42" s="53" t="s">
        <v>37</v>
      </c>
    </row>
    <row r="43" spans="1:10" s="41" customFormat="1" ht="12.75" x14ac:dyDescent="0.2">
      <c r="C43" s="43" t="s">
        <v>75</v>
      </c>
      <c r="D43" s="42"/>
    </row>
    <row r="44" spans="1:10" s="41" customFormat="1" ht="12.75" x14ac:dyDescent="0.2">
      <c r="C44" s="54" t="s">
        <v>82</v>
      </c>
      <c r="D44" s="55">
        <f>E36</f>
        <v>4025</v>
      </c>
      <c r="E44" s="55"/>
      <c r="F44" s="55">
        <f>D44</f>
        <v>4025</v>
      </c>
    </row>
    <row r="45" spans="1:10" s="41" customFormat="1" ht="12.75" x14ac:dyDescent="0.2">
      <c r="A45" s="41" t="s">
        <v>77</v>
      </c>
      <c r="B45" s="49">
        <f>Data!D26</f>
        <v>3500</v>
      </c>
      <c r="C45" s="41" t="str">
        <f>C37</f>
        <v>Subsidised Loan adjusted by EFC</v>
      </c>
      <c r="D45" s="63">
        <f>Data!D26</f>
        <v>3500</v>
      </c>
      <c r="E45" s="33">
        <v>1.0589999999999999</v>
      </c>
      <c r="F45" s="49">
        <f>ROUND(D45*((100-E45)/100),0)</f>
        <v>3463</v>
      </c>
    </row>
    <row r="46" spans="1:10" s="41" customFormat="1" ht="12.75" x14ac:dyDescent="0.2">
      <c r="A46" s="41" t="s">
        <v>77</v>
      </c>
      <c r="B46" s="49">
        <f>Data!D27</f>
        <v>2000</v>
      </c>
      <c r="C46" s="41" t="str">
        <f>C38</f>
        <v>Unsubsidised Loan</v>
      </c>
      <c r="D46" s="63">
        <f>Data!D27</f>
        <v>2000</v>
      </c>
      <c r="E46" s="33">
        <v>1.0589999999999999</v>
      </c>
      <c r="F46" s="49">
        <f t="shared" ref="F46:F47" si="0">ROUND(D46*((100-E46)/100),0)</f>
        <v>1979</v>
      </c>
    </row>
    <row r="47" spans="1:10" s="41" customFormat="1" ht="12.75" x14ac:dyDescent="0.2">
      <c r="A47" s="41" t="s">
        <v>77</v>
      </c>
      <c r="B47" s="49">
        <f>ROUND((Data!D28),0)</f>
        <v>55789</v>
      </c>
      <c r="C47" s="41" t="str">
        <f>C39</f>
        <v>PLUS Loan</v>
      </c>
      <c r="D47" s="63">
        <f>Data!D28</f>
        <v>55789.231861659915</v>
      </c>
      <c r="E47" s="33">
        <v>4.2359999999999998</v>
      </c>
      <c r="F47" s="49">
        <f t="shared" si="0"/>
        <v>53426</v>
      </c>
    </row>
    <row r="48" spans="1:10" s="41" customFormat="1" ht="12.75" x14ac:dyDescent="0.2">
      <c r="C48" s="41" t="s">
        <v>83</v>
      </c>
      <c r="D48" s="56">
        <f>SUM(D44:D47)</f>
        <v>65314.231861659915</v>
      </c>
      <c r="E48" s="56"/>
      <c r="F48" s="56">
        <f>SUM(F44:F47)</f>
        <v>62893</v>
      </c>
    </row>
    <row r="49" spans="1:4" s="41" customFormat="1" ht="12.75" x14ac:dyDescent="0.2">
      <c r="D49" s="42"/>
    </row>
    <row r="50" spans="1:4" s="41" customFormat="1" ht="12.75" x14ac:dyDescent="0.2">
      <c r="C50" s="43" t="s">
        <v>84</v>
      </c>
      <c r="D50" s="42"/>
    </row>
    <row r="51" spans="1:4" s="41" customFormat="1" ht="12.75" x14ac:dyDescent="0.2">
      <c r="A51" s="41" t="s">
        <v>77</v>
      </c>
      <c r="B51" s="49">
        <f>E40-F48</f>
        <v>0</v>
      </c>
      <c r="C51" s="41" t="s">
        <v>78</v>
      </c>
      <c r="D51" s="60">
        <v>0</v>
      </c>
    </row>
    <row r="52" spans="1:4" s="41" customFormat="1" ht="12.75" x14ac:dyDescent="0.2">
      <c r="D52" s="42"/>
    </row>
    <row r="53" spans="1:4" s="41" customFormat="1" ht="20.25" x14ac:dyDescent="0.2">
      <c r="C53" s="57" t="s">
        <v>85</v>
      </c>
      <c r="D53" s="42"/>
    </row>
    <row r="54" spans="1:4" s="41" customFormat="1" ht="12.75" x14ac:dyDescent="0.2">
      <c r="A54" s="34" t="s">
        <v>86</v>
      </c>
      <c r="B54" s="35"/>
      <c r="C54" s="64" t="s">
        <v>87</v>
      </c>
      <c r="D54" s="42"/>
    </row>
    <row r="55" spans="1:4" s="41" customFormat="1" ht="12.75" x14ac:dyDescent="0.2">
      <c r="A55" s="36" t="s">
        <v>88</v>
      </c>
      <c r="B55" s="37"/>
      <c r="C55" s="64" t="s">
        <v>89</v>
      </c>
      <c r="D55" s="42"/>
    </row>
    <row r="56" spans="1:4" s="41" customFormat="1" ht="12.75" x14ac:dyDescent="0.2">
      <c r="A56" s="38" t="s">
        <v>90</v>
      </c>
      <c r="B56" s="39"/>
      <c r="C56" s="65" t="s">
        <v>91</v>
      </c>
      <c r="D56" s="42"/>
    </row>
    <row r="57" spans="1:4" s="41" customFormat="1" ht="12.75" x14ac:dyDescent="0.2">
      <c r="A57" s="38" t="s">
        <v>92</v>
      </c>
      <c r="B57" s="39"/>
      <c r="C57" s="65" t="s">
        <v>93</v>
      </c>
      <c r="D57" s="42"/>
    </row>
    <row r="58" spans="1:4" s="41" customFormat="1" ht="12.75" x14ac:dyDescent="0.2">
      <c r="A58" s="38" t="s">
        <v>94</v>
      </c>
      <c r="B58" s="39"/>
      <c r="C58" s="65" t="s">
        <v>95</v>
      </c>
      <c r="D58" s="42"/>
    </row>
    <row r="59" spans="1:4" s="41" customFormat="1" ht="12.75" x14ac:dyDescent="0.2">
      <c r="A59" s="38" t="s">
        <v>96</v>
      </c>
      <c r="B59" s="39"/>
      <c r="C59" s="65" t="s">
        <v>97</v>
      </c>
      <c r="D59" s="42"/>
    </row>
    <row r="60" spans="1:4" s="41" customFormat="1" ht="12.75" x14ac:dyDescent="0.2">
      <c r="A60" s="34" t="s">
        <v>98</v>
      </c>
      <c r="B60" s="40"/>
      <c r="C60" s="65" t="s">
        <v>99</v>
      </c>
      <c r="D60" s="42"/>
    </row>
    <row r="61" spans="1:4" s="41" customFormat="1" ht="12.75" x14ac:dyDescent="0.2">
      <c r="A61" s="34" t="s">
        <v>100</v>
      </c>
      <c r="B61" s="40"/>
      <c r="C61" s="66" t="s">
        <v>101</v>
      </c>
      <c r="D61" s="42"/>
    </row>
    <row r="62" spans="1:4" s="41" customFormat="1" ht="12.75" x14ac:dyDescent="0.2">
      <c r="A62" s="34" t="s">
        <v>102</v>
      </c>
      <c r="B62" s="40"/>
      <c r="C62" s="67">
        <v>19358</v>
      </c>
      <c r="D62" s="42"/>
    </row>
    <row r="63" spans="1:4" s="41" customFormat="1" ht="12.75" x14ac:dyDescent="0.2">
      <c r="A63" s="36" t="s">
        <v>103</v>
      </c>
      <c r="B63" s="37"/>
      <c r="C63" s="68" t="s">
        <v>104</v>
      </c>
      <c r="D63" s="42"/>
    </row>
    <row r="64" spans="1:4" s="41" customFormat="1" ht="12.75" x14ac:dyDescent="0.2">
      <c r="A64" s="34" t="s">
        <v>105</v>
      </c>
      <c r="B64" s="35"/>
      <c r="C64" s="69" t="s">
        <v>106</v>
      </c>
      <c r="D64" s="42"/>
    </row>
    <row r="65" spans="1:4" s="41" customFormat="1" ht="12.75" x14ac:dyDescent="0.2">
      <c r="A65" s="34" t="s">
        <v>107</v>
      </c>
      <c r="B65" s="35"/>
      <c r="C65" s="69" t="s">
        <v>108</v>
      </c>
      <c r="D65" s="42"/>
    </row>
    <row r="66" spans="1:4" s="41" customFormat="1" ht="12.75" x14ac:dyDescent="0.2">
      <c r="D66" s="42"/>
    </row>
    <row r="67" spans="1:4" s="41" customFormat="1" ht="12.75" x14ac:dyDescent="0.2">
      <c r="D67" s="42"/>
    </row>
    <row r="68" spans="1:4" s="41" customFormat="1" ht="12.75" x14ac:dyDescent="0.2">
      <c r="D68" s="42"/>
    </row>
    <row r="69" spans="1:4" s="41" customFormat="1" ht="12.75" x14ac:dyDescent="0.2">
      <c r="D69" s="42"/>
    </row>
    <row r="70" spans="1:4" s="41" customFormat="1" ht="12.75" x14ac:dyDescent="0.2">
      <c r="D70" s="42"/>
    </row>
    <row r="71" spans="1:4" s="41" customFormat="1" ht="12.75" x14ac:dyDescent="0.2">
      <c r="D71" s="42"/>
    </row>
    <row r="72" spans="1:4" s="41" customFormat="1" ht="12.75" x14ac:dyDescent="0.2">
      <c r="D72" s="42"/>
    </row>
    <row r="73" spans="1:4" s="41" customFormat="1" ht="12.75" x14ac:dyDescent="0.2">
      <c r="D73" s="42"/>
    </row>
    <row r="74" spans="1:4" s="41" customFormat="1" ht="12.75" x14ac:dyDescent="0.2">
      <c r="D74" s="42"/>
    </row>
    <row r="75" spans="1:4" s="41" customFormat="1" ht="12.75" x14ac:dyDescent="0.2">
      <c r="D75" s="42"/>
    </row>
    <row r="76" spans="1:4" s="41" customFormat="1" ht="12.75" x14ac:dyDescent="0.2">
      <c r="D76" s="42"/>
    </row>
    <row r="77" spans="1:4" s="41" customFormat="1" ht="12.75" x14ac:dyDescent="0.2">
      <c r="D77" s="42"/>
    </row>
  </sheetData>
  <sheetProtection algorithmName="SHA-512" hashValue="TfiSK+7n8fGmplrA9X1OYHxjkpDVOjChg3zkNvHqJ7Q4g8IP4I3G63kym1CTZspdUgRW0RBlAQH3HrswM0U89w==" saltValue="vD/FkHYpCgEzIdZ5SoNRkw==" spinCount="100000" sheet="1" objects="1" scenarios="1" selectLockedCells="1"/>
  <hyperlinks>
    <hyperlink ref="C13" r:id="rId1" xr:uid="{EF25AA24-B810-4A04-9EC9-502C71BD1A98}"/>
  </hyperlinks>
  <pageMargins left="0.7" right="0.7" top="0.75" bottom="0.75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4A737C-1935-4283-B862-33788A663893}">
  <dimension ref="B1:P32"/>
  <sheetViews>
    <sheetView topLeftCell="A14" workbookViewId="0">
      <selection activeCell="F32" sqref="F32"/>
    </sheetView>
  </sheetViews>
  <sheetFormatPr defaultRowHeight="15" x14ac:dyDescent="0.25"/>
  <cols>
    <col min="2" max="2" width="21.5703125" customWidth="1"/>
    <col min="8" max="8" width="14.42578125" bestFit="1" customWidth="1"/>
    <col min="9" max="9" width="14.42578125" customWidth="1"/>
    <col min="10" max="10" width="14" bestFit="1" customWidth="1"/>
    <col min="12" max="12" width="15.5703125" customWidth="1"/>
    <col min="14" max="14" width="15.85546875" customWidth="1"/>
  </cols>
  <sheetData>
    <row r="1" spans="2:16" ht="18.75" x14ac:dyDescent="0.3">
      <c r="B1" s="7" t="s">
        <v>0</v>
      </c>
    </row>
    <row r="2" spans="2:16" x14ac:dyDescent="0.25">
      <c r="B2" t="s">
        <v>26</v>
      </c>
      <c r="C2" s="6" t="s">
        <v>2</v>
      </c>
    </row>
    <row r="3" spans="2:16" x14ac:dyDescent="0.25">
      <c r="B3" t="s">
        <v>25</v>
      </c>
      <c r="C3" t="s">
        <v>15</v>
      </c>
      <c r="D3" s="6">
        <v>36</v>
      </c>
    </row>
    <row r="4" spans="2:16" x14ac:dyDescent="0.25">
      <c r="C4" t="s">
        <v>16</v>
      </c>
      <c r="D4" s="6">
        <v>50</v>
      </c>
    </row>
    <row r="5" spans="2:16" x14ac:dyDescent="0.25">
      <c r="B5" t="s">
        <v>14</v>
      </c>
      <c r="D5" s="6">
        <v>1.35</v>
      </c>
    </row>
    <row r="6" spans="2:16" x14ac:dyDescent="0.25">
      <c r="C6" t="s">
        <v>24</v>
      </c>
      <c r="D6" t="s">
        <v>21</v>
      </c>
      <c r="E6" t="s">
        <v>17</v>
      </c>
      <c r="F6" t="s">
        <v>21</v>
      </c>
      <c r="G6" t="s">
        <v>19</v>
      </c>
      <c r="H6" t="s">
        <v>22</v>
      </c>
      <c r="I6" t="s">
        <v>18</v>
      </c>
      <c r="J6" t="s">
        <v>20</v>
      </c>
    </row>
    <row r="7" spans="2:16" x14ac:dyDescent="0.25">
      <c r="B7" t="s">
        <v>10</v>
      </c>
      <c r="C7" s="22">
        <v>309</v>
      </c>
      <c r="D7" s="3">
        <f>D3</f>
        <v>36</v>
      </c>
      <c r="E7" s="23">
        <f>ROUND((C7*43),0)</f>
        <v>13287</v>
      </c>
      <c r="F7" s="9">
        <f>D4</f>
        <v>50</v>
      </c>
      <c r="G7" s="23">
        <f>ROUND((C7*50),0)</f>
        <v>15450</v>
      </c>
      <c r="H7" s="9">
        <f>D5</f>
        <v>1.35</v>
      </c>
      <c r="I7" s="25">
        <f>ROUND((E7*H7),0)</f>
        <v>17937</v>
      </c>
      <c r="J7" s="25">
        <f>ROUND((G7*H7),0)</f>
        <v>20858</v>
      </c>
    </row>
    <row r="8" spans="2:16" x14ac:dyDescent="0.25">
      <c r="B8" t="s">
        <v>11</v>
      </c>
      <c r="C8" s="22">
        <v>109.49</v>
      </c>
      <c r="D8" s="3">
        <f>D7</f>
        <v>36</v>
      </c>
      <c r="E8" s="23">
        <f>ROUND((C8*43),0)</f>
        <v>4708</v>
      </c>
      <c r="F8" s="9">
        <f>F7</f>
        <v>50</v>
      </c>
      <c r="G8" s="23">
        <f t="shared" ref="G8:G11" si="0">ROUND((C8*50),0)</f>
        <v>5475</v>
      </c>
      <c r="H8" s="9">
        <f>H7</f>
        <v>1.35</v>
      </c>
      <c r="I8" s="25">
        <f t="shared" ref="I8:I12" si="1">ROUND((E8*H8),0)</f>
        <v>6356</v>
      </c>
      <c r="J8" s="25">
        <f t="shared" ref="J8:J12" si="2">ROUND((G8*H8),0)</f>
        <v>7391</v>
      </c>
    </row>
    <row r="9" spans="2:16" x14ac:dyDescent="0.25">
      <c r="B9" t="s">
        <v>8</v>
      </c>
      <c r="C9" s="22">
        <v>24.34</v>
      </c>
      <c r="D9" s="3">
        <f t="shared" ref="D9:D11" si="3">D8</f>
        <v>36</v>
      </c>
      <c r="E9" s="23">
        <f>ROUND((C9*43),0)</f>
        <v>1047</v>
      </c>
      <c r="F9" s="9">
        <f t="shared" ref="F9:F11" si="4">F8</f>
        <v>50</v>
      </c>
      <c r="G9" s="23">
        <f t="shared" si="0"/>
        <v>1217</v>
      </c>
      <c r="H9" s="9">
        <f t="shared" ref="H9:H12" si="5">H8</f>
        <v>1.35</v>
      </c>
      <c r="I9" s="25">
        <f t="shared" si="1"/>
        <v>1413</v>
      </c>
      <c r="J9" s="25">
        <f t="shared" si="2"/>
        <v>1643</v>
      </c>
    </row>
    <row r="10" spans="2:16" x14ac:dyDescent="0.25">
      <c r="B10" t="s">
        <v>9</v>
      </c>
      <c r="C10" s="22">
        <v>40</v>
      </c>
      <c r="D10" s="3">
        <f t="shared" si="3"/>
        <v>36</v>
      </c>
      <c r="E10" s="23">
        <f>ROUND((C10*43),0)</f>
        <v>1720</v>
      </c>
      <c r="F10" s="9">
        <f t="shared" si="4"/>
        <v>50</v>
      </c>
      <c r="G10" s="23">
        <f t="shared" si="0"/>
        <v>2000</v>
      </c>
      <c r="H10" s="9">
        <f t="shared" si="5"/>
        <v>1.35</v>
      </c>
      <c r="I10" s="25">
        <f t="shared" si="1"/>
        <v>2322</v>
      </c>
      <c r="J10" s="25">
        <f t="shared" si="2"/>
        <v>2700</v>
      </c>
    </row>
    <row r="11" spans="2:16" x14ac:dyDescent="0.25">
      <c r="B11" t="s">
        <v>12</v>
      </c>
      <c r="C11" s="22">
        <f>24.34+86.29</f>
        <v>110.63000000000001</v>
      </c>
      <c r="D11" s="3">
        <f t="shared" si="3"/>
        <v>36</v>
      </c>
      <c r="E11" s="23">
        <f>ROUND((C11*43),0)</f>
        <v>4757</v>
      </c>
      <c r="F11" s="9">
        <f t="shared" si="4"/>
        <v>50</v>
      </c>
      <c r="G11" s="23">
        <f t="shared" si="0"/>
        <v>5532</v>
      </c>
      <c r="H11" s="9">
        <f t="shared" si="5"/>
        <v>1.35</v>
      </c>
      <c r="I11" s="25">
        <f t="shared" si="1"/>
        <v>6422</v>
      </c>
      <c r="J11" s="25">
        <f t="shared" si="2"/>
        <v>7468</v>
      </c>
    </row>
    <row r="12" spans="2:16" x14ac:dyDescent="0.25">
      <c r="B12" t="s">
        <v>13</v>
      </c>
      <c r="C12" s="3"/>
      <c r="D12" s="3"/>
      <c r="E12" s="24">
        <v>4077</v>
      </c>
      <c r="F12" s="9"/>
      <c r="G12" s="23">
        <f>E12</f>
        <v>4077</v>
      </c>
      <c r="H12" s="9">
        <f t="shared" si="5"/>
        <v>1.35</v>
      </c>
      <c r="I12" s="25">
        <f t="shared" si="1"/>
        <v>5504</v>
      </c>
      <c r="J12" s="25">
        <f t="shared" si="2"/>
        <v>5504</v>
      </c>
    </row>
    <row r="13" spans="2:16" x14ac:dyDescent="0.25">
      <c r="B13" t="s">
        <v>23</v>
      </c>
      <c r="E13" s="23">
        <f>SUM(E7:E12)</f>
        <v>29596</v>
      </c>
      <c r="F13" s="9"/>
      <c r="G13" s="23">
        <f t="shared" ref="G13:J13" si="6">SUM(G7:G12)</f>
        <v>33751</v>
      </c>
      <c r="H13" s="9"/>
      <c r="I13" s="25">
        <f t="shared" si="6"/>
        <v>39954</v>
      </c>
      <c r="J13" s="25">
        <f t="shared" si="6"/>
        <v>45564</v>
      </c>
    </row>
    <row r="15" spans="2:16" ht="18.75" x14ac:dyDescent="0.3">
      <c r="B15" s="7" t="s">
        <v>31</v>
      </c>
      <c r="I15" s="10" t="s">
        <v>51</v>
      </c>
      <c r="J15" s="11"/>
      <c r="K15" s="11"/>
      <c r="L15" s="11"/>
      <c r="M15" s="11"/>
      <c r="N15" s="11"/>
      <c r="O15" s="11"/>
      <c r="P15" s="11"/>
    </row>
    <row r="16" spans="2:16" x14ac:dyDescent="0.25">
      <c r="I16" s="12" t="s">
        <v>64</v>
      </c>
      <c r="J16" s="12"/>
      <c r="K16" s="12"/>
      <c r="L16" s="13"/>
      <c r="M16" s="12" t="s">
        <v>52</v>
      </c>
      <c r="N16" s="13"/>
      <c r="O16" s="13"/>
      <c r="P16" s="14"/>
    </row>
    <row r="17" spans="2:16" x14ac:dyDescent="0.25">
      <c r="B17" t="s">
        <v>48</v>
      </c>
      <c r="D17" s="5"/>
      <c r="E17" s="5"/>
      <c r="F17" s="5">
        <f>'Cost of Attendance'!E24</f>
        <v>62893</v>
      </c>
      <c r="I17" s="15" t="s">
        <v>53</v>
      </c>
      <c r="J17" s="16" t="s">
        <v>54</v>
      </c>
      <c r="K17" s="16" t="s">
        <v>55</v>
      </c>
      <c r="L17" s="13"/>
      <c r="M17" s="13" t="s">
        <v>53</v>
      </c>
      <c r="N17" s="16" t="s">
        <v>54</v>
      </c>
      <c r="O17" s="16" t="s">
        <v>55</v>
      </c>
      <c r="P17" s="14"/>
    </row>
    <row r="18" spans="2:16" x14ac:dyDescent="0.25">
      <c r="B18" t="s">
        <v>49</v>
      </c>
      <c r="C18" s="4">
        <f>SUM('Cost of Attendance'!D32:D33)</f>
        <v>1500</v>
      </c>
      <c r="D18" s="5" t="s">
        <v>63</v>
      </c>
      <c r="E18" s="5">
        <f>C18*D5</f>
        <v>2025.0000000000002</v>
      </c>
      <c r="F18" s="5"/>
      <c r="I18" s="17">
        <f>IF(C22="Y",0,M18)</f>
        <v>0</v>
      </c>
      <c r="J18" s="17">
        <f>IF((C22="N"),M18,0)</f>
        <v>0</v>
      </c>
      <c r="K18" s="18">
        <f>IF((C22="N"),O18,0)</f>
        <v>0</v>
      </c>
      <c r="L18" s="19" t="s">
        <v>56</v>
      </c>
      <c r="M18" s="20">
        <v>0</v>
      </c>
      <c r="N18" s="20">
        <v>0</v>
      </c>
      <c r="O18" s="20">
        <v>20500</v>
      </c>
      <c r="P18" s="11"/>
    </row>
    <row r="19" spans="2:16" x14ac:dyDescent="0.25">
      <c r="B19" t="s">
        <v>50</v>
      </c>
      <c r="D19" s="5"/>
      <c r="E19" s="5">
        <f>SUM('Cost of Attendance'!E32:E33)</f>
        <v>2000</v>
      </c>
      <c r="F19" s="5"/>
      <c r="I19" s="17">
        <f>IF((AND(C22="Y",C24=1)),M19,0)</f>
        <v>3500</v>
      </c>
      <c r="J19" s="17">
        <f>IF((AND(C22="Y",C23="D",C24=1)),N19,0)</f>
        <v>2000</v>
      </c>
      <c r="K19" s="19">
        <f>IF((AND(C22="Y",C23="I",C24=1)),O19,0)</f>
        <v>0</v>
      </c>
      <c r="L19" s="19" t="s">
        <v>57</v>
      </c>
      <c r="M19" s="20">
        <v>3500</v>
      </c>
      <c r="N19" s="20">
        <v>2000</v>
      </c>
      <c r="O19" s="20">
        <v>6000</v>
      </c>
      <c r="P19" s="11"/>
    </row>
    <row r="20" spans="2:16" x14ac:dyDescent="0.25">
      <c r="B20" t="s">
        <v>71</v>
      </c>
      <c r="D20" s="5"/>
      <c r="E20" s="5"/>
      <c r="F20" s="5">
        <f>-SUM(E18:E19)</f>
        <v>-4025</v>
      </c>
      <c r="I20" s="17">
        <f>IF((AND(C22="Y",C24=2)),M20,0)</f>
        <v>0</v>
      </c>
      <c r="J20" s="17">
        <f>IF((AND(C22="Y",C23="D",C24=2)),N20,0)</f>
        <v>0</v>
      </c>
      <c r="K20" s="19">
        <f>IF((AND(C22="Y",C23="I",C24=2)),O20,0)</f>
        <v>0</v>
      </c>
      <c r="L20" s="19" t="s">
        <v>58</v>
      </c>
      <c r="M20" s="20">
        <v>4500</v>
      </c>
      <c r="N20" s="20">
        <v>2000</v>
      </c>
      <c r="O20" s="20">
        <v>6000</v>
      </c>
      <c r="P20" s="11"/>
    </row>
    <row r="21" spans="2:16" x14ac:dyDescent="0.25">
      <c r="B21" t="s">
        <v>66</v>
      </c>
      <c r="D21" s="5"/>
      <c r="E21" s="5"/>
      <c r="F21" s="5">
        <f>SUM(F17:F20)</f>
        <v>58868</v>
      </c>
      <c r="I21" s="17">
        <f>IF((AND(C22="Y",C24&gt;2)),M21,0)</f>
        <v>0</v>
      </c>
      <c r="J21" s="17">
        <f>IF((AND(C22="Y",C23="D",C24&gt;2)),N21,0)</f>
        <v>0</v>
      </c>
      <c r="K21" s="19">
        <f>IF((AND(C22="Y",C23="I",C24=3)),O21,0)</f>
        <v>0</v>
      </c>
      <c r="L21" s="19" t="s">
        <v>59</v>
      </c>
      <c r="M21" s="20">
        <v>5500</v>
      </c>
      <c r="N21" s="20">
        <v>2000</v>
      </c>
      <c r="O21" s="20">
        <v>7000</v>
      </c>
      <c r="P21" s="11"/>
    </row>
    <row r="22" spans="2:16" x14ac:dyDescent="0.25">
      <c r="B22" t="s">
        <v>15</v>
      </c>
      <c r="C22" s="3" t="str">
        <f>'Cost of Attendance'!D11</f>
        <v>Y</v>
      </c>
      <c r="D22" s="5"/>
      <c r="E22" s="5"/>
      <c r="F22" s="5"/>
      <c r="I22" s="17">
        <f>MAX(I18:I21)</f>
        <v>3500</v>
      </c>
      <c r="J22" s="18"/>
      <c r="K22" s="18">
        <f>MAX(J18:K21)</f>
        <v>2000</v>
      </c>
      <c r="L22" s="21" t="s">
        <v>60</v>
      </c>
      <c r="M22" s="21"/>
      <c r="N22" s="21" t="s">
        <v>61</v>
      </c>
      <c r="O22" s="19"/>
      <c r="P22" s="11"/>
    </row>
    <row r="23" spans="2:16" x14ac:dyDescent="0.25">
      <c r="B23" t="s">
        <v>62</v>
      </c>
      <c r="C23" s="3" t="str">
        <f>'Cost of Attendance'!D29</f>
        <v>D</v>
      </c>
      <c r="D23" s="5"/>
      <c r="E23" s="5"/>
      <c r="F23" s="5"/>
      <c r="O23" s="19"/>
      <c r="P23" s="11"/>
    </row>
    <row r="24" spans="2:16" ht="18.75" x14ac:dyDescent="0.3">
      <c r="B24" t="s">
        <v>26</v>
      </c>
      <c r="C24" s="3">
        <f>'Cost of Attendance'!D30</f>
        <v>1</v>
      </c>
      <c r="D24" s="5"/>
      <c r="E24" s="5"/>
      <c r="F24" s="5"/>
      <c r="I24" s="10" t="s">
        <v>68</v>
      </c>
    </row>
    <row r="25" spans="2:16" x14ac:dyDescent="0.25">
      <c r="E25" s="5" t="s">
        <v>67</v>
      </c>
      <c r="F25" s="5" t="s">
        <v>37</v>
      </c>
      <c r="I25" t="s">
        <v>69</v>
      </c>
      <c r="J25" s="5">
        <f>F21-F26-F27</f>
        <v>53426</v>
      </c>
    </row>
    <row r="26" spans="2:16" x14ac:dyDescent="0.25">
      <c r="B26" t="s">
        <v>72</v>
      </c>
      <c r="D26" s="5">
        <f>IF((F21&gt;I22),I22,(F21))</f>
        <v>3500</v>
      </c>
      <c r="E26" s="26">
        <v>1.0589999999999999</v>
      </c>
      <c r="F26" s="5">
        <f>ROUND(D26*((100-E26)/100),0)</f>
        <v>3463</v>
      </c>
      <c r="I26" t="s">
        <v>70</v>
      </c>
      <c r="J26" s="5">
        <f>(J25/((100-E28))*100)</f>
        <v>55789.231861659915</v>
      </c>
    </row>
    <row r="27" spans="2:16" x14ac:dyDescent="0.25">
      <c r="B27" t="s">
        <v>34</v>
      </c>
      <c r="D27" s="5">
        <f>((SUM(I22:K22))-D26)</f>
        <v>2000</v>
      </c>
      <c r="E27" s="26">
        <v>1.0589999999999999</v>
      </c>
      <c r="F27" s="5">
        <f t="shared" ref="F27:F28" si="7">ROUND(D27*((100-E27)/100),0)</f>
        <v>1979</v>
      </c>
    </row>
    <row r="28" spans="2:16" x14ac:dyDescent="0.25">
      <c r="B28" t="s">
        <v>35</v>
      </c>
      <c r="D28" s="5">
        <f>J26</f>
        <v>55789.231861659915</v>
      </c>
      <c r="E28" s="26">
        <v>4.2359999999999998</v>
      </c>
      <c r="F28" s="5">
        <f t="shared" si="7"/>
        <v>53426</v>
      </c>
    </row>
    <row r="29" spans="2:16" x14ac:dyDescent="0.25">
      <c r="F29" s="5">
        <f>SUM(F26:F28)</f>
        <v>58868</v>
      </c>
    </row>
    <row r="31" spans="2:16" x14ac:dyDescent="0.25">
      <c r="B31" t="s">
        <v>79</v>
      </c>
      <c r="D31" t="s">
        <v>80</v>
      </c>
      <c r="F31" s="5">
        <f>F21</f>
        <v>58868</v>
      </c>
    </row>
    <row r="32" spans="2:16" x14ac:dyDescent="0.25">
      <c r="D3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Cost of Attendance</vt:lpstr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Fox</dc:creator>
  <cp:lastModifiedBy>Michael Fox</cp:lastModifiedBy>
  <dcterms:created xsi:type="dcterms:W3CDTF">2020-07-26T16:42:06Z</dcterms:created>
  <dcterms:modified xsi:type="dcterms:W3CDTF">2020-07-26T21:56:48Z</dcterms:modified>
</cp:coreProperties>
</file>